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<sst xmlns="http://schemas.openxmlformats.org/spreadsheetml/2006/main" count="891" uniqueCount="178">
  <si>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</si>
  <si>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</si>
  <si>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</si>
  <si>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</si>
  <si>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</si>
  <si>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</si>
  <si>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</si>
  <si>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</si>
  <si>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</si>
  <si>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</si>
  <si>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</si>
  <si>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</si>
  <si>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</si>
  <si>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</si>
  <si>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</si>
  <si>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</si>
  <si>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</si>
  <si>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</si>
  <si>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</si>
  <si>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</si>
  <si>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</si>
  <si>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</si>
  <si>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</si>
  <si>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</si>
  <si>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</si>
  <si>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</si>
  <si>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</si>
  <si>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</si>
  <si>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</si>
  <si>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</si>
  <si>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</si>
  <si>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</si>
  <si>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</si>
  <si>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</si>
  <si>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</si>
  <si>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</si>
  <si>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</si>
  <si>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</si>
  <si>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</si>
  <si>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</si>
  <si>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</si>
  <si>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</si>
  <si>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</si>
  <si>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</si>
  <si>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</si>
  <si>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</si>
  <si>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</si>
  <si>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</si>
  <si>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</si>
  <si>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</si>
  <si>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</si>
  <si>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</si>
  <si>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</si>
  <si>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</si>
  <si>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</si>
  <si>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</si>
  <si>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</si>
  <si>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</si>
  <si>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</si>
  <si>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</si>
  <si>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</si>
  <si>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</si>
  <si>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</si>
  <si>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</si>
  <si>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</si>
  <si>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</si>
  <si>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</si>
  <si>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</si>
  <si>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</si>
  <si>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</si>
  <si>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</si>
  <si>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</si>
  <si>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</si>
  <si>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</si>
  <si>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</si>
  <si>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</si>
  <si>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</si>
  <si>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</si>
  <si>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</si>
  <si>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</si>
  <si>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</si>
  <si>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</si>
  <si>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</si>
  <si>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</si>
  <si>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</si>
  <si>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</si>
  <si>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</si>
  <si>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</si>
  <si>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</si>
  <si>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</si>
  <si>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</si>
  <si>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</si>
  <si>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</si>
  <si>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</si>
  <si>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</si>
  <si>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</si>
  <si>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</si>
  <si>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</si>
  <si>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</si>
  <si>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</si>
  <si>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</si>
  <si>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</si>
  <si>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</si>
  <si>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</si>
  <si>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</si>
  <si>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</si>
  <si>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</si>
  <si>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</si>
  <si>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</si>
  <si>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</si>
  <si>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</si>
  <si>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</si>
  <si>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</si>
  <si>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</si>
  <si>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</si>
  <si>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</si>
  <si>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</si>
  <si>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</si>
  <si>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</si>
  <si>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</si>
  <si>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</si>
  <si>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</si>
  <si>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</si>
  <si>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</si>
  <si>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</si>
  <si>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</si>
  <si>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</si>
  <si>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</si>
  <si>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</si>
  <si>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</si>
  <si>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</si>
  <si>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</si>
  <si>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</si>
  <si>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</si>
  <si>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</si>
  <si>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</si>
  <si>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</si>
  <si>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</si>
  <si>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</si>
  <si>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</si>
  <si>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</si>
  <si>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</si>
  <si>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</si>
  <si>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</si>
  <si>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</si>
  <si>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</si>
  <si>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</si>
  <si>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</si>
  <si>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</si>
  <si>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</si>
  <si>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</si>
  <si>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</si>
  <si>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</si>
  <si>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</si>
  <si>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</si>
  <si>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</si>
  <si>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</si>
  <si>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</si>
  <si>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</si>
  <si>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</si>
  <si>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</si>
  <si>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</si>
  <si>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</si>
  <si>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</si>
  <si>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</si>
  <si>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</si>
  <si>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</si>
  <si>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</si>
  <si>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</si>
  <si>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</si>
  <si>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</si>
  <si>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</si>
  <si>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</si>
  <si>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</si>
  <si>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</si>
  <si>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</si>
  <si>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13.06.2016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</si>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</sst>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392843.56</v>
      </c>
      <c r="G8" s="191">
        <f aca="true" t="shared" si="0" ref="G8:G36">F8-E8</f>
        <v>-27392.219999999972</v>
      </c>
      <c r="H8" s="192">
        <f>F8/E8*100</f>
        <v>93.48170210542283</v>
      </c>
      <c r="I8" s="193">
        <f>F8-D8</f>
        <v>-448206.44</v>
      </c>
      <c r="J8" s="193">
        <f>F8/D8*100</f>
        <v>46.708704595446164</v>
      </c>
      <c r="K8" s="191">
        <f>F8-305119.12</f>
        <v>87724.44</v>
      </c>
      <c r="L8" s="191">
        <f>F8/305119.12*100</f>
        <v>128.75088260611133</v>
      </c>
      <c r="M8" s="191">
        <f>M9+M15+M18+M19+M20+M17</f>
        <v>67799.29999999999</v>
      </c>
      <c r="N8" s="191">
        <f>N9+N15+N18+N19+N20+N17</f>
        <v>17848.610000000022</v>
      </c>
      <c r="O8" s="191">
        <f>N8-M8</f>
        <v>-49950.689999999966</v>
      </c>
      <c r="P8" s="191">
        <f>N8/M8*100</f>
        <v>26.32565527962682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213896.48</v>
      </c>
      <c r="G9" s="190">
        <f t="shared" si="0"/>
        <v>-10007.789999999979</v>
      </c>
      <c r="H9" s="197">
        <f>F9/E9*100</f>
        <v>95.53032642030455</v>
      </c>
      <c r="I9" s="198">
        <f>F9-D9</f>
        <v>-245803.52</v>
      </c>
      <c r="J9" s="198">
        <f>F9/D9*100</f>
        <v>46.52958016097455</v>
      </c>
      <c r="K9" s="199">
        <f>F9-171379.72</f>
        <v>42516.76000000001</v>
      </c>
      <c r="L9" s="199">
        <f>F9/171379.72*100</f>
        <v>124.80851293256869</v>
      </c>
      <c r="M9" s="197">
        <f>E9-травень!E9</f>
        <v>41002</v>
      </c>
      <c r="N9" s="200">
        <f>F9-травень!F9</f>
        <v>14795.559999999998</v>
      </c>
      <c r="O9" s="201">
        <f>N9-M9</f>
        <v>-26206.440000000002</v>
      </c>
      <c r="P9" s="198">
        <f>N9/M9*100</f>
        <v>36.084971464806586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186965.67</v>
      </c>
      <c r="G10" s="109">
        <f t="shared" si="0"/>
        <v>-12330.169999999984</v>
      </c>
      <c r="H10" s="32">
        <f aca="true" t="shared" si="1" ref="H10:H35">F10/E10*100</f>
        <v>93.81313227611776</v>
      </c>
      <c r="I10" s="110">
        <f aca="true" t="shared" si="2" ref="I10:I36">F10-D10</f>
        <v>-224474.33</v>
      </c>
      <c r="J10" s="110">
        <f aca="true" t="shared" si="3" ref="J10:J35">F10/D10*100</f>
        <v>45.44178251993001</v>
      </c>
      <c r="K10" s="112">
        <f>F10-152226.9</f>
        <v>34738.77000000002</v>
      </c>
      <c r="L10" s="112">
        <f>F10/152226.9*100</f>
        <v>122.82038851214865</v>
      </c>
      <c r="M10" s="111">
        <f>E10-травень!E10</f>
        <v>37450</v>
      </c>
      <c r="N10" s="179">
        <f>F10-травень!F10</f>
        <v>12797.340000000026</v>
      </c>
      <c r="O10" s="112">
        <f aca="true" t="shared" si="4" ref="O10:O36">N10-M10</f>
        <v>-24652.659999999974</v>
      </c>
      <c r="P10" s="198">
        <f aca="true" t="shared" si="5" ref="P10:P16">N10/M10*100</f>
        <v>34.171802403204346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14680.42</v>
      </c>
      <c r="G11" s="109">
        <f t="shared" si="0"/>
        <v>515.4799999999996</v>
      </c>
      <c r="H11" s="32">
        <f t="shared" si="1"/>
        <v>103.63912589816829</v>
      </c>
      <c r="I11" s="110">
        <f t="shared" si="2"/>
        <v>-8319.58</v>
      </c>
      <c r="J11" s="110">
        <f t="shared" si="3"/>
        <v>63.827913043478254</v>
      </c>
      <c r="K11" s="112">
        <f>F11-9213.1</f>
        <v>5467.32</v>
      </c>
      <c r="L11" s="112">
        <f>F11/9213.1*100</f>
        <v>159.34289218612628</v>
      </c>
      <c r="M11" s="111">
        <f>E11-травень!E11</f>
        <v>1600</v>
      </c>
      <c r="N11" s="179">
        <f>F11-травень!F11</f>
        <v>1.1700000000000728</v>
      </c>
      <c r="O11" s="112">
        <f t="shared" si="4"/>
        <v>-1598.83</v>
      </c>
      <c r="P11" s="198">
        <f t="shared" si="5"/>
        <v>0.07312500000000455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4747.86</v>
      </c>
      <c r="G12" s="109">
        <f t="shared" si="0"/>
        <v>2027.2499999999995</v>
      </c>
      <c r="H12" s="32">
        <f t="shared" si="1"/>
        <v>174.51453901882297</v>
      </c>
      <c r="I12" s="110">
        <f t="shared" si="2"/>
        <v>-1752.1400000000003</v>
      </c>
      <c r="J12" s="110">
        <f t="shared" si="3"/>
        <v>73.044</v>
      </c>
      <c r="K12" s="112">
        <f>F12-2592.53</f>
        <v>2155.3299999999995</v>
      </c>
      <c r="L12" s="112">
        <f>F12/2592.53*100</f>
        <v>183.13616428739493</v>
      </c>
      <c r="M12" s="111">
        <f>E12-травень!E12</f>
        <v>500</v>
      </c>
      <c r="N12" s="179">
        <f>F12-травень!F12</f>
        <v>164.6300000000001</v>
      </c>
      <c r="O12" s="112">
        <f t="shared" si="4"/>
        <v>-335.3699999999999</v>
      </c>
      <c r="P12" s="198">
        <f t="shared" si="5"/>
        <v>32.92600000000002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3909.32</v>
      </c>
      <c r="G13" s="109">
        <f t="shared" si="0"/>
        <v>-675.52</v>
      </c>
      <c r="H13" s="32">
        <f t="shared" si="1"/>
        <v>85.26622521178493</v>
      </c>
      <c r="I13" s="110">
        <f t="shared" si="2"/>
        <v>-8490.68</v>
      </c>
      <c r="J13" s="110">
        <f t="shared" si="3"/>
        <v>31.52677419354839</v>
      </c>
      <c r="K13" s="112">
        <f>F13-2783.41</f>
        <v>1125.9100000000003</v>
      </c>
      <c r="L13" s="112">
        <f>F13/2783.41*100</f>
        <v>140.450742075368</v>
      </c>
      <c r="M13" s="111">
        <f>E13-травень!E13</f>
        <v>820</v>
      </c>
      <c r="N13" s="179">
        <f>F13-травень!F13</f>
        <v>145.8800000000001</v>
      </c>
      <c r="O13" s="112">
        <f t="shared" si="4"/>
        <v>-674.1199999999999</v>
      </c>
      <c r="P13" s="198">
        <f t="shared" si="5"/>
        <v>17.790243902439038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2154.95</v>
      </c>
      <c r="G14" s="109">
        <f t="shared" si="0"/>
        <v>-983.0900000000001</v>
      </c>
      <c r="H14" s="32">
        <f t="shared" si="1"/>
        <v>68.67184612050833</v>
      </c>
      <c r="I14" s="110">
        <f t="shared" si="2"/>
        <v>-4205.05</v>
      </c>
      <c r="J14" s="110">
        <f t="shared" si="3"/>
        <v>33.882861635220124</v>
      </c>
      <c r="K14" s="112">
        <f>F14-4563.77</f>
        <v>-2408.8200000000006</v>
      </c>
      <c r="L14" s="112">
        <f>F14/4563.77*100</f>
        <v>47.21863722317294</v>
      </c>
      <c r="M14" s="111">
        <f>E14-травень!E14</f>
        <v>632</v>
      </c>
      <c r="N14" s="179">
        <f>F14-травень!F14</f>
        <v>248.26999999999975</v>
      </c>
      <c r="O14" s="112">
        <f t="shared" si="4"/>
        <v>-383.73000000000025</v>
      </c>
      <c r="P14" s="198">
        <f t="shared" si="5"/>
        <v>39.28322784810123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35390.46</v>
      </c>
      <c r="G19" s="190">
        <f t="shared" si="0"/>
        <v>-12469.940000000002</v>
      </c>
      <c r="H19" s="197">
        <f t="shared" si="1"/>
        <v>73.94518223834318</v>
      </c>
      <c r="I19" s="198">
        <f t="shared" si="2"/>
        <v>-74509.54000000001</v>
      </c>
      <c r="J19" s="198">
        <f t="shared" si="3"/>
        <v>32.202420382165606</v>
      </c>
      <c r="K19" s="209">
        <f>F19-30116.49</f>
        <v>5273.9699999999975</v>
      </c>
      <c r="L19" s="209">
        <f>F19/30116.49*100</f>
        <v>117.5119012873014</v>
      </c>
      <c r="M19" s="197">
        <f>E19-травень!E19</f>
        <v>9800</v>
      </c>
      <c r="N19" s="200">
        <f>F19-травень!F19</f>
        <v>159.90000000000146</v>
      </c>
      <c r="O19" s="201">
        <f t="shared" si="4"/>
        <v>-9640.099999999999</v>
      </c>
      <c r="P19" s="198">
        <f aca="true" t="shared" si="6" ref="P19:P24">N19/M19*100</f>
        <v>1.6316326530612393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143141.41</v>
      </c>
      <c r="G20" s="190">
        <f t="shared" si="0"/>
        <v>-5079.6999999999825</v>
      </c>
      <c r="H20" s="197">
        <f t="shared" si="1"/>
        <v>96.57289032581122</v>
      </c>
      <c r="I20" s="198">
        <f t="shared" si="2"/>
        <v>-127798.59</v>
      </c>
      <c r="J20" s="198">
        <f t="shared" si="3"/>
        <v>52.831405477227435</v>
      </c>
      <c r="K20" s="198">
        <f>F20-100444.36</f>
        <v>42697.05</v>
      </c>
      <c r="L20" s="198">
        <f>F20/100444.36*100</f>
        <v>142.5081607369493</v>
      </c>
      <c r="M20" s="197">
        <f>M21+M29+M30+M31</f>
        <v>16992.299999999985</v>
      </c>
      <c r="N20" s="200">
        <f>F20-травень!F20</f>
        <v>2893.1500000000233</v>
      </c>
      <c r="O20" s="201">
        <f t="shared" si="4"/>
        <v>-14099.149999999961</v>
      </c>
      <c r="P20" s="198">
        <f t="shared" si="6"/>
        <v>17.026241297529033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72936.55</v>
      </c>
      <c r="G21" s="190">
        <f t="shared" si="0"/>
        <v>-5206.809999999998</v>
      </c>
      <c r="H21" s="197">
        <f t="shared" si="1"/>
        <v>93.33684909376817</v>
      </c>
      <c r="I21" s="198">
        <f t="shared" si="2"/>
        <v>-88463.45</v>
      </c>
      <c r="J21" s="198">
        <f t="shared" si="3"/>
        <v>45.189931846344486</v>
      </c>
      <c r="K21" s="198">
        <f>F21-54757.32</f>
        <v>18179.230000000003</v>
      </c>
      <c r="L21" s="198">
        <f>F21/54757.32*100</f>
        <v>133.19963431373193</v>
      </c>
      <c r="M21" s="197">
        <f>M22+M25+M26</f>
        <v>13047.099999999999</v>
      </c>
      <c r="N21" s="200">
        <f>F21-травень!F21</f>
        <v>1396.4100000000035</v>
      </c>
      <c r="O21" s="201">
        <f t="shared" si="4"/>
        <v>-11650.689999999995</v>
      </c>
      <c r="P21" s="198">
        <f t="shared" si="6"/>
        <v>10.702838178599103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8692.59</v>
      </c>
      <c r="G22" s="212">
        <f t="shared" si="0"/>
        <v>80.98999999999978</v>
      </c>
      <c r="H22" s="214">
        <f t="shared" si="1"/>
        <v>100.94047563751218</v>
      </c>
      <c r="I22" s="215">
        <f t="shared" si="2"/>
        <v>-9807.41</v>
      </c>
      <c r="J22" s="215">
        <f t="shared" si="3"/>
        <v>46.98697297297297</v>
      </c>
      <c r="K22" s="216">
        <f>F22-4957.1</f>
        <v>3735.49</v>
      </c>
      <c r="L22" s="216">
        <f>F22/4957.1*100</f>
        <v>175.35635754775979</v>
      </c>
      <c r="M22" s="214">
        <f>E22-травень!E22</f>
        <v>240</v>
      </c>
      <c r="N22" s="217">
        <f>F22-травень!F22</f>
        <v>52.44000000000051</v>
      </c>
      <c r="O22" s="218">
        <f t="shared" si="4"/>
        <v>-187.5599999999995</v>
      </c>
      <c r="P22" s="215">
        <f t="shared" si="6"/>
        <v>21.85000000000021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263.95</v>
      </c>
      <c r="G23" s="241">
        <f t="shared" si="0"/>
        <v>-125.15000000000003</v>
      </c>
      <c r="H23" s="242">
        <f t="shared" si="1"/>
        <v>67.83603186841428</v>
      </c>
      <c r="I23" s="243">
        <f t="shared" si="2"/>
        <v>-1736.05</v>
      </c>
      <c r="J23" s="243">
        <f t="shared" si="3"/>
        <v>13.197499999999998</v>
      </c>
      <c r="K23" s="244">
        <f>F23-284.18</f>
        <v>-20.230000000000018</v>
      </c>
      <c r="L23" s="244">
        <f>F23/284.18*100</f>
        <v>92.881272432965</v>
      </c>
      <c r="M23" s="239">
        <f>E23-травень!E23</f>
        <v>40</v>
      </c>
      <c r="N23" s="239">
        <f>F23-травень!F23</f>
        <v>0.30000000000001137</v>
      </c>
      <c r="O23" s="240">
        <f t="shared" si="4"/>
        <v>-39.69999999999999</v>
      </c>
      <c r="P23" s="240">
        <f t="shared" si="6"/>
        <v>0.7500000000000284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8419.66</v>
      </c>
      <c r="G24" s="241">
        <f t="shared" si="0"/>
        <v>197.15999999999985</v>
      </c>
      <c r="H24" s="242">
        <f t="shared" si="1"/>
        <v>102.39781088476741</v>
      </c>
      <c r="I24" s="243">
        <f t="shared" si="2"/>
        <v>-8080.34</v>
      </c>
      <c r="J24" s="243">
        <f t="shared" si="3"/>
        <v>51.02824242424242</v>
      </c>
      <c r="K24" s="244">
        <f>F24-4672.92</f>
        <v>3746.74</v>
      </c>
      <c r="L24" s="244">
        <f>F24/4672.92*100</f>
        <v>180.17984472235776</v>
      </c>
      <c r="M24" s="239">
        <f>E24-травень!E24</f>
        <v>200</v>
      </c>
      <c r="N24" s="239">
        <f>F24-травень!F24</f>
        <v>43.159999999999854</v>
      </c>
      <c r="O24" s="240">
        <f t="shared" si="4"/>
        <v>-156.84000000000015</v>
      </c>
      <c r="P24" s="240">
        <f t="shared" si="6"/>
        <v>21.579999999999927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426.33</v>
      </c>
      <c r="G25" s="212">
        <f t="shared" si="0"/>
        <v>149.49</v>
      </c>
      <c r="H25" s="214">
        <f t="shared" si="1"/>
        <v>153.99869960988298</v>
      </c>
      <c r="I25" s="215">
        <f t="shared" si="2"/>
        <v>-2373.67</v>
      </c>
      <c r="J25" s="215">
        <f t="shared" si="3"/>
        <v>15.226071428571428</v>
      </c>
      <c r="K25" s="215">
        <f>F25-210.68</f>
        <v>215.64999999999998</v>
      </c>
      <c r="L25" s="215">
        <f>F25/210.68*100</f>
        <v>202.35902790962595</v>
      </c>
      <c r="M25" s="214">
        <f>E25-травень!E25</f>
        <v>0</v>
      </c>
      <c r="N25" s="217">
        <f>F25-травень!F25</f>
        <v>6.25</v>
      </c>
      <c r="O25" s="218">
        <f t="shared" si="4"/>
        <v>6.25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63817.63</v>
      </c>
      <c r="G26" s="212">
        <f t="shared" si="0"/>
        <v>-5437.290000000001</v>
      </c>
      <c r="H26" s="214">
        <f t="shared" si="1"/>
        <v>92.14887548783538</v>
      </c>
      <c r="I26" s="215">
        <f t="shared" si="2"/>
        <v>-76282.37</v>
      </c>
      <c r="J26" s="215">
        <f t="shared" si="3"/>
        <v>45.5514846538187</v>
      </c>
      <c r="K26" s="216">
        <f>F26-49589.53</f>
        <v>14228.099999999999</v>
      </c>
      <c r="L26" s="216">
        <f>F26/49589.53*100</f>
        <v>128.69174198666533</v>
      </c>
      <c r="M26" s="214">
        <f>E26-травень!E26</f>
        <v>12807.099999999999</v>
      </c>
      <c r="N26" s="217">
        <f>F26-травень!F26</f>
        <v>1337.719999999994</v>
      </c>
      <c r="O26" s="218">
        <f t="shared" si="4"/>
        <v>-11469.380000000005</v>
      </c>
      <c r="P26" s="215">
        <f>N26/M26*100</f>
        <v>10.445143709348674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19584.36</v>
      </c>
      <c r="G27" s="241">
        <f t="shared" si="0"/>
        <v>154.61000000000058</v>
      </c>
      <c r="H27" s="242">
        <f t="shared" si="1"/>
        <v>100.7957384938046</v>
      </c>
      <c r="I27" s="243">
        <f t="shared" si="2"/>
        <v>-18472.64</v>
      </c>
      <c r="J27" s="243">
        <f t="shared" si="3"/>
        <v>51.460598575820484</v>
      </c>
      <c r="K27" s="244">
        <f>F27-12926</f>
        <v>6658.360000000001</v>
      </c>
      <c r="L27" s="244">
        <f>F27/12926*100</f>
        <v>151.51137242766518</v>
      </c>
      <c r="M27" s="239">
        <f>E27-12724.05</f>
        <v>6705.700000000001</v>
      </c>
      <c r="N27" s="239">
        <f>F27-15205.9</f>
        <v>4378.460000000001</v>
      </c>
      <c r="O27" s="240">
        <f t="shared" si="4"/>
        <v>-2327.24</v>
      </c>
      <c r="P27" s="240">
        <f>N27/M27*100</f>
        <v>65.29460011631896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44048.76</v>
      </c>
      <c r="G28" s="241">
        <f t="shared" si="0"/>
        <v>-5776.409999999996</v>
      </c>
      <c r="H28" s="242">
        <f t="shared" si="1"/>
        <v>88.40664266674855</v>
      </c>
      <c r="I28" s="243">
        <f t="shared" si="2"/>
        <v>34005.76</v>
      </c>
      <c r="J28" s="243">
        <f t="shared" si="3"/>
        <v>438.60161306382554</v>
      </c>
      <c r="K28" s="244">
        <f>F28-36663.53</f>
        <v>7385.230000000003</v>
      </c>
      <c r="L28" s="244">
        <f>F28/36663.53*100</f>
        <v>120.14325952792872</v>
      </c>
      <c r="M28" s="239">
        <f>E28-32053.77</f>
        <v>17771.399999999998</v>
      </c>
      <c r="N28" s="239">
        <f>F28-34030.56</f>
        <v>10018.200000000004</v>
      </c>
      <c r="O28" s="240">
        <f t="shared" si="4"/>
        <v>-7753.199999999993</v>
      </c>
      <c r="P28" s="240">
        <f>N28/M28*100</f>
        <v>56.37259866977281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51.15</v>
      </c>
      <c r="G29" s="190">
        <f t="shared" si="0"/>
        <v>15.439999999999998</v>
      </c>
      <c r="H29" s="197">
        <f t="shared" si="1"/>
        <v>143.2371884626155</v>
      </c>
      <c r="I29" s="198">
        <f t="shared" si="2"/>
        <v>-25.85</v>
      </c>
      <c r="J29" s="198">
        <f t="shared" si="3"/>
        <v>66.42857142857143</v>
      </c>
      <c r="K29" s="198">
        <f>F29-37.42</f>
        <v>13.729999999999997</v>
      </c>
      <c r="L29" s="198">
        <f>F29/37.42*100</f>
        <v>136.6916087653661</v>
      </c>
      <c r="M29" s="197">
        <f>E29-травень!E29</f>
        <v>5.199999999999999</v>
      </c>
      <c r="N29" s="200">
        <f>F29-травень!F29</f>
        <v>0.00999999999999801</v>
      </c>
      <c r="O29" s="201">
        <f t="shared" si="4"/>
        <v>-5.190000000000001</v>
      </c>
      <c r="P29" s="198">
        <f>N29/M29*100</f>
        <v>0.19230769230765407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-123.16</v>
      </c>
      <c r="G30" s="190">
        <f t="shared" si="0"/>
        <v>-123.16</v>
      </c>
      <c r="H30" s="197"/>
      <c r="I30" s="198">
        <f t="shared" si="2"/>
        <v>-123.16</v>
      </c>
      <c r="J30" s="198"/>
      <c r="K30" s="198">
        <f>F30-(-403.36)</f>
        <v>280.20000000000005</v>
      </c>
      <c r="L30" s="198">
        <f>F30/(-403.36)*100</f>
        <v>30.533518445061482</v>
      </c>
      <c r="M30" s="197">
        <f>E30-травень!E30</f>
        <v>0</v>
      </c>
      <c r="N30" s="200">
        <f>F30-травень!F30</f>
        <v>-13.439999999999998</v>
      </c>
      <c r="O30" s="201">
        <f t="shared" si="4"/>
        <v>-13.439999999999998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70276.87</v>
      </c>
      <c r="G31" s="202">
        <f t="shared" si="0"/>
        <v>234.83000000000175</v>
      </c>
      <c r="H31" s="204">
        <f t="shared" si="1"/>
        <v>100.33527007494357</v>
      </c>
      <c r="I31" s="205">
        <f t="shared" si="2"/>
        <v>-39186.130000000005</v>
      </c>
      <c r="J31" s="205">
        <f t="shared" si="3"/>
        <v>64.20148360633273</v>
      </c>
      <c r="K31" s="219">
        <f>F31-46052.97</f>
        <v>24223.899999999994</v>
      </c>
      <c r="L31" s="219">
        <f>F31/46052.97*100</f>
        <v>152.60008203596857</v>
      </c>
      <c r="M31" s="197">
        <f>E31-травень!E31</f>
        <v>3939.9999999999854</v>
      </c>
      <c r="N31" s="200">
        <f>F31-травень!F31</f>
        <v>1510.1699999999983</v>
      </c>
      <c r="O31" s="207">
        <f t="shared" si="4"/>
        <v>-2429.829999999987</v>
      </c>
      <c r="P31" s="205">
        <f>N31/M31*100</f>
        <v>38.32918781725898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17818.65</v>
      </c>
      <c r="G33" s="109">
        <f t="shared" si="0"/>
        <v>122.68000000000029</v>
      </c>
      <c r="H33" s="111">
        <f t="shared" si="1"/>
        <v>100.6932651897579</v>
      </c>
      <c r="I33" s="110">
        <f t="shared" si="2"/>
        <v>-9781.349999999999</v>
      </c>
      <c r="J33" s="110">
        <f t="shared" si="3"/>
        <v>64.56032608695654</v>
      </c>
      <c r="K33" s="142">
        <f>F33-11423.16</f>
        <v>6395.490000000002</v>
      </c>
      <c r="L33" s="142">
        <f>F33/11423.16*100</f>
        <v>155.98704736692827</v>
      </c>
      <c r="M33" s="111">
        <f>E33-травень!E33</f>
        <v>940</v>
      </c>
      <c r="N33" s="179">
        <f>F33-травень!F33</f>
        <v>266.59000000000015</v>
      </c>
      <c r="O33" s="112">
        <f t="shared" si="4"/>
        <v>-673.4099999999999</v>
      </c>
      <c r="P33" s="110">
        <f>N33/M33*100</f>
        <v>28.360638297872352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52294.45</v>
      </c>
      <c r="G34" s="109">
        <f t="shared" si="0"/>
        <v>-41.63000000000466</v>
      </c>
      <c r="H34" s="111">
        <f t="shared" si="1"/>
        <v>99.92045640407153</v>
      </c>
      <c r="I34" s="110">
        <f t="shared" si="2"/>
        <v>-29517.550000000003</v>
      </c>
      <c r="J34" s="110">
        <f t="shared" si="3"/>
        <v>63.920268420280635</v>
      </c>
      <c r="K34" s="142">
        <f>F34-34622.85</f>
        <v>17671.6</v>
      </c>
      <c r="L34" s="142">
        <f>F34/34622.85*100</f>
        <v>151.04028120157642</v>
      </c>
      <c r="M34" s="111">
        <f>E34-травень!E34</f>
        <v>3000</v>
      </c>
      <c r="N34" s="179">
        <f>F34-травень!F34</f>
        <v>1093.989999999998</v>
      </c>
      <c r="O34" s="112">
        <f t="shared" si="4"/>
        <v>-1906.010000000002</v>
      </c>
      <c r="P34" s="110">
        <f>N34/M34*100</f>
        <v>36.46633333333327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28117.759999999995</v>
      </c>
      <c r="G37" s="191">
        <f>G38+G39+G40+G41+G42+G44+G46+G47+G48+G49+G50+G55+G56+G60</f>
        <v>6612.929999999999</v>
      </c>
      <c r="H37" s="192">
        <f>F37/E37*100</f>
        <v>130.79226329110156</v>
      </c>
      <c r="I37" s="193">
        <f>F37-D37</f>
        <v>-14702.240000000005</v>
      </c>
      <c r="J37" s="193">
        <f>F37/D37*100</f>
        <v>65.66501634750117</v>
      </c>
      <c r="K37" s="191">
        <f>F37-15873</f>
        <v>12244.759999999995</v>
      </c>
      <c r="L37" s="191">
        <f>F37/15873*100</f>
        <v>177.14206514206512</v>
      </c>
      <c r="M37" s="191">
        <f>M38+M39+M40+M41+M42+M44+M46+M47+M48+M49+M50+M55+M56+M60</f>
        <v>3691.0000000000005</v>
      </c>
      <c r="N37" s="191">
        <f>N38+N39+N40+N41+N42+N44+N46+N47+N48+N49+N50+N55+N56+N60+N43</f>
        <v>5277.34</v>
      </c>
      <c r="O37" s="191">
        <f>O38+O39+O40+O41+O42+O44+O46+O47+O48+O49+O50+O55+O56+O60</f>
        <v>1586.3400000000001</v>
      </c>
      <c r="P37" s="191">
        <f>N37/M37*100</f>
        <v>142.97859658629096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27.79</v>
      </c>
      <c r="G40" s="202">
        <f t="shared" si="9"/>
        <v>-83.65</v>
      </c>
      <c r="H40" s="204">
        <f t="shared" si="7"/>
        <v>24.937185929648244</v>
      </c>
      <c r="I40" s="205">
        <f t="shared" si="10"/>
        <v>-372.21</v>
      </c>
      <c r="J40" s="205">
        <f aca="true" t="shared" si="12" ref="J40:J61">F40/D40*100</f>
        <v>6.9475</v>
      </c>
      <c r="K40" s="205">
        <f>F40-188.18</f>
        <v>-160.39000000000001</v>
      </c>
      <c r="L40" s="205">
        <f>F40/188.18*100</f>
        <v>14.76777553406313</v>
      </c>
      <c r="M40" s="204">
        <f>E40-травень!E40</f>
        <v>20</v>
      </c>
      <c r="N40" s="208">
        <f>F40-травень!F40</f>
        <v>0.2799999999999976</v>
      </c>
      <c r="O40" s="207">
        <f t="shared" si="11"/>
        <v>-19.720000000000002</v>
      </c>
      <c r="P40" s="205">
        <f t="shared" si="8"/>
        <v>1.399999999999988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54.41</v>
      </c>
      <c r="G42" s="202">
        <f t="shared" si="9"/>
        <v>-5.590000000000003</v>
      </c>
      <c r="H42" s="204">
        <f t="shared" si="7"/>
        <v>90.68333333333332</v>
      </c>
      <c r="I42" s="205">
        <f t="shared" si="10"/>
        <v>-95.59</v>
      </c>
      <c r="J42" s="205">
        <f t="shared" si="12"/>
        <v>36.273333333333326</v>
      </c>
      <c r="K42" s="205">
        <f>F42-81.62</f>
        <v>-27.210000000000008</v>
      </c>
      <c r="L42" s="205">
        <f>F42/81.62*100</f>
        <v>66.66258270031854</v>
      </c>
      <c r="M42" s="204">
        <f>E42-травень!E42</f>
        <v>10</v>
      </c>
      <c r="N42" s="208">
        <f>F42-травень!F42</f>
        <v>4.009999999999998</v>
      </c>
      <c r="O42" s="207">
        <f t="shared" si="11"/>
        <v>-5.990000000000002</v>
      </c>
      <c r="P42" s="205">
        <f t="shared" si="8"/>
        <v>40.09999999999998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119.52</v>
      </c>
      <c r="G44" s="202">
        <f t="shared" si="9"/>
        <v>79.52</v>
      </c>
      <c r="H44" s="204">
        <f t="shared" si="7"/>
        <v>298.8</v>
      </c>
      <c r="I44" s="205">
        <f t="shared" si="10"/>
        <v>29.519999999999996</v>
      </c>
      <c r="J44" s="205">
        <f t="shared" si="12"/>
        <v>132.79999999999998</v>
      </c>
      <c r="K44" s="205">
        <f>F44-0</f>
        <v>119.52</v>
      </c>
      <c r="L44" s="205"/>
      <c r="M44" s="204">
        <f>E44-травень!E44</f>
        <v>8</v>
      </c>
      <c r="N44" s="208">
        <f>F44-травень!F44</f>
        <v>43.19</v>
      </c>
      <c r="O44" s="207">
        <f t="shared" si="11"/>
        <v>35.19</v>
      </c>
      <c r="P44" s="205">
        <f t="shared" si="8"/>
        <v>539.875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4419.86</v>
      </c>
      <c r="G46" s="202">
        <f t="shared" si="9"/>
        <v>-119.16000000000076</v>
      </c>
      <c r="H46" s="204">
        <f t="shared" si="7"/>
        <v>97.37476371551567</v>
      </c>
      <c r="I46" s="205">
        <f t="shared" si="10"/>
        <v>-5480.14</v>
      </c>
      <c r="J46" s="205">
        <f t="shared" si="12"/>
        <v>44.645050505050506</v>
      </c>
      <c r="K46" s="205">
        <f>F46-4927.6</f>
        <v>-507.7400000000007</v>
      </c>
      <c r="L46" s="205">
        <f>F46/4927.6*100</f>
        <v>89.6959980517899</v>
      </c>
      <c r="M46" s="204">
        <f>E46-травень!E46</f>
        <v>800.0000000000005</v>
      </c>
      <c r="N46" s="208">
        <f>F46-травень!F46</f>
        <v>362.4499999999998</v>
      </c>
      <c r="O46" s="207">
        <f t="shared" si="11"/>
        <v>-437.55000000000064</v>
      </c>
      <c r="P46" s="205">
        <f t="shared" si="8"/>
        <v>45.306249999999956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51.27</v>
      </c>
      <c r="G47" s="202">
        <f t="shared" si="9"/>
        <v>-598.73</v>
      </c>
      <c r="H47" s="204">
        <f t="shared" si="7"/>
        <v>7.8876923076923084</v>
      </c>
      <c r="I47" s="205">
        <f t="shared" si="10"/>
        <v>-1448.73</v>
      </c>
      <c r="J47" s="205">
        <f t="shared" si="12"/>
        <v>3.418</v>
      </c>
      <c r="K47" s="205">
        <f>F47-0</f>
        <v>51.27</v>
      </c>
      <c r="L47" s="205"/>
      <c r="M47" s="204">
        <f>E47-травень!E47</f>
        <v>130</v>
      </c>
      <c r="N47" s="208">
        <f>F47-травень!F47</f>
        <v>17.340000000000003</v>
      </c>
      <c r="O47" s="207">
        <f t="shared" si="11"/>
        <v>-112.66</v>
      </c>
      <c r="P47" s="205">
        <f t="shared" si="8"/>
        <v>13.33846153846154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2794.85</v>
      </c>
      <c r="G50" s="202">
        <f t="shared" si="9"/>
        <v>-424.34000000000015</v>
      </c>
      <c r="H50" s="204">
        <f t="shared" si="7"/>
        <v>86.81842326796492</v>
      </c>
      <c r="I50" s="205">
        <f t="shared" si="10"/>
        <v>-4505.15</v>
      </c>
      <c r="J50" s="205">
        <f t="shared" si="12"/>
        <v>38.285616438356165</v>
      </c>
      <c r="K50" s="205">
        <f>F50-4033.24</f>
        <v>-1238.3899999999999</v>
      </c>
      <c r="L50" s="205">
        <f>F50/4033.24*100</f>
        <v>69.29540518292985</v>
      </c>
      <c r="M50" s="204">
        <f>E50-травень!E50</f>
        <v>666</v>
      </c>
      <c r="N50" s="208">
        <f>F50-травень!F50</f>
        <v>221.38999999999987</v>
      </c>
      <c r="O50" s="207">
        <f t="shared" si="11"/>
        <v>-444.6100000000001</v>
      </c>
      <c r="P50" s="205">
        <f t="shared" si="8"/>
        <v>33.24174174174172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394.23</v>
      </c>
      <c r="G51" s="36">
        <f t="shared" si="9"/>
        <v>-157.76</v>
      </c>
      <c r="H51" s="32">
        <f t="shared" si="7"/>
        <v>71.41977209732062</v>
      </c>
      <c r="I51" s="110">
        <f t="shared" si="10"/>
        <v>-705.77</v>
      </c>
      <c r="J51" s="110">
        <f t="shared" si="12"/>
        <v>35.839090909090906</v>
      </c>
      <c r="K51" s="110">
        <f>F51-582.74</f>
        <v>-188.51</v>
      </c>
      <c r="L51" s="110">
        <f>F51/582.74*100</f>
        <v>67.65109654391324</v>
      </c>
      <c r="M51" s="111">
        <f>E51-травень!E51</f>
        <v>185</v>
      </c>
      <c r="N51" s="179">
        <f>F51-травень!F51</f>
        <v>26.680000000000007</v>
      </c>
      <c r="O51" s="112">
        <f t="shared" si="11"/>
        <v>-158.32</v>
      </c>
      <c r="P51" s="132">
        <f t="shared" si="8"/>
        <v>14.421621621621625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2376.48</v>
      </c>
      <c r="G54" s="36">
        <f t="shared" si="9"/>
        <v>-285.69000000000005</v>
      </c>
      <c r="H54" s="32">
        <f t="shared" si="7"/>
        <v>89.26852905712256</v>
      </c>
      <c r="I54" s="110">
        <f t="shared" si="10"/>
        <v>-3777.52</v>
      </c>
      <c r="J54" s="110">
        <f t="shared" si="12"/>
        <v>38.61683457913552</v>
      </c>
      <c r="K54" s="110">
        <f>F54-3404.6</f>
        <v>-1028.12</v>
      </c>
      <c r="L54" s="110">
        <f>F54/3404.6*100</f>
        <v>69.8020325442049</v>
      </c>
      <c r="M54" s="111">
        <f>E54-травень!E54</f>
        <v>480</v>
      </c>
      <c r="N54" s="179">
        <f>F54-травень!F54</f>
        <v>170.80999999999995</v>
      </c>
      <c r="O54" s="112">
        <f t="shared" si="11"/>
        <v>-309.19000000000005</v>
      </c>
      <c r="P54" s="132">
        <f t="shared" si="8"/>
        <v>35.58541666666665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2527.08</v>
      </c>
      <c r="G56" s="202">
        <f t="shared" si="9"/>
        <v>259.0999999999999</v>
      </c>
      <c r="H56" s="204">
        <f t="shared" si="7"/>
        <v>111.42426300055554</v>
      </c>
      <c r="I56" s="205">
        <f t="shared" si="10"/>
        <v>-2272.92</v>
      </c>
      <c r="J56" s="205">
        <f t="shared" si="12"/>
        <v>52.6475</v>
      </c>
      <c r="K56" s="205">
        <f>F56-2236.15</f>
        <v>290.92999999999984</v>
      </c>
      <c r="L56" s="205">
        <f>F56/2236.15*100</f>
        <v>113.01030789526641</v>
      </c>
      <c r="M56" s="204">
        <f>E56-травень!E56</f>
        <v>400</v>
      </c>
      <c r="N56" s="208">
        <f>F56-травень!F56</f>
        <v>206.9699999999998</v>
      </c>
      <c r="O56" s="207">
        <f t="shared" si="11"/>
        <v>-193.0300000000002</v>
      </c>
      <c r="P56" s="205">
        <f t="shared" si="8"/>
        <v>51.74249999999995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561.6</v>
      </c>
      <c r="G58" s="202"/>
      <c r="H58" s="204"/>
      <c r="I58" s="205"/>
      <c r="J58" s="205"/>
      <c r="K58" s="206">
        <f>F58-577.4</f>
        <v>-15.799999999999955</v>
      </c>
      <c r="L58" s="206">
        <f>F58/577.4*100</f>
        <v>97.26359542777972</v>
      </c>
      <c r="M58" s="236"/>
      <c r="N58" s="220">
        <f>F58-травень!F58</f>
        <v>83.23000000000002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420975.24000000005</v>
      </c>
      <c r="G63" s="191">
        <f>F63-E63</f>
        <v>-20770.769999999902</v>
      </c>
      <c r="H63" s="192">
        <f>F63/E63*100</f>
        <v>95.29802883788359</v>
      </c>
      <c r="I63" s="193">
        <f>F63-D63</f>
        <v>-462925.3599999999</v>
      </c>
      <c r="J63" s="193">
        <f>F63/D63*100</f>
        <v>47.62698882657168</v>
      </c>
      <c r="K63" s="193">
        <f>F63-320998.67</f>
        <v>99976.57000000007</v>
      </c>
      <c r="L63" s="193">
        <f>F63/320998.67*100</f>
        <v>131.14547795478407</v>
      </c>
      <c r="M63" s="191">
        <f>M8+M37+M61+M62</f>
        <v>71492.59999999999</v>
      </c>
      <c r="N63" s="191">
        <f>N8+N37+N61+N62</f>
        <v>23125.950000000023</v>
      </c>
      <c r="O63" s="195">
        <f>N63-M63</f>
        <v>-48366.649999999965</v>
      </c>
      <c r="P63" s="193">
        <f>N63/M63*100</f>
        <v>32.34733384993695</v>
      </c>
      <c r="Q63" s="28">
        <f>N63-34768</f>
        <v>-11642.049999999977</v>
      </c>
      <c r="R63" s="128">
        <f>N63/34768</f>
        <v>0.6651504256787857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F69-(-31.04)</f>
        <v>30.77</v>
      </c>
      <c r="L69" s="207">
        <f>F69/(-31.04)*100</f>
        <v>0.8698453608247423</v>
      </c>
      <c r="M69" s="204"/>
      <c r="N69" s="223">
        <f>F69-травень!F69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F70-(-31.04)</f>
        <v>30.779999999999998</v>
      </c>
      <c r="L70" s="228">
        <f>F70/(-31.04)*100</f>
        <v>0.8376288659793815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1041.98</v>
      </c>
      <c r="G72" s="202">
        <f aca="true" t="shared" si="13" ref="G72:G82">F72-E72</f>
        <v>-371.02</v>
      </c>
      <c r="H72" s="204"/>
      <c r="I72" s="207">
        <f aca="true" t="shared" si="14" ref="I72:I82">F72-D72</f>
        <v>-3158.02</v>
      </c>
      <c r="J72" s="207">
        <f>F72/D72*100</f>
        <v>24.809047619047618</v>
      </c>
      <c r="K72" s="207">
        <f>F72-194</f>
        <v>847.98</v>
      </c>
      <c r="L72" s="207">
        <f>F72/194*100</f>
        <v>537.1030927835052</v>
      </c>
      <c r="M72" s="204">
        <f>E72-травень!E72</f>
        <v>500</v>
      </c>
      <c r="N72" s="208">
        <f>F72-травень!F72</f>
        <v>0.009999999999990905</v>
      </c>
      <c r="O72" s="207">
        <f aca="true" t="shared" si="15" ref="O72:O85">N72-M72</f>
        <v>-499.99</v>
      </c>
      <c r="P72" s="207">
        <f>N72/M72*100</f>
        <v>0.001999999999998181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884.66</v>
      </c>
      <c r="G73" s="202">
        <f t="shared" si="13"/>
        <v>-1349.0500000000002</v>
      </c>
      <c r="H73" s="204">
        <f>F73/E73*100</f>
        <v>39.604962148175005</v>
      </c>
      <c r="I73" s="207">
        <f t="shared" si="14"/>
        <v>-6574.34</v>
      </c>
      <c r="J73" s="207">
        <f>F73/D73*100</f>
        <v>11.860302989676901</v>
      </c>
      <c r="K73" s="207">
        <f>F73-3257.07</f>
        <v>-2372.4100000000003</v>
      </c>
      <c r="L73" s="207">
        <f>F73/3257.07*100</f>
        <v>27.16122158872852</v>
      </c>
      <c r="M73" s="204">
        <f>E73-травень!E73</f>
        <v>282.60000000000014</v>
      </c>
      <c r="N73" s="208">
        <f>F73-травень!F73</f>
        <v>15.42999999999995</v>
      </c>
      <c r="O73" s="207">
        <f t="shared" si="15"/>
        <v>-267.1700000000002</v>
      </c>
      <c r="P73" s="207">
        <f>N73/M73*100</f>
        <v>5.46001415428165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9113.39</v>
      </c>
      <c r="G74" s="202">
        <f t="shared" si="13"/>
        <v>7320.539999999999</v>
      </c>
      <c r="H74" s="204">
        <f>F74/E74*100</f>
        <v>508.31859887888</v>
      </c>
      <c r="I74" s="207">
        <f t="shared" si="14"/>
        <v>3113.3899999999994</v>
      </c>
      <c r="J74" s="207">
        <f>F74/D74*100</f>
        <v>151.8898333333333</v>
      </c>
      <c r="K74" s="207">
        <f>F74-1818.42</f>
        <v>7294.969999999999</v>
      </c>
      <c r="L74" s="207">
        <f>F74/1818.42*100</f>
        <v>501.170796625642</v>
      </c>
      <c r="M74" s="204">
        <f>E74-травень!E74</f>
        <v>302</v>
      </c>
      <c r="N74" s="208">
        <f>F74-травень!F74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11046.029999999999</v>
      </c>
      <c r="G76" s="226">
        <f t="shared" si="13"/>
        <v>5600.469999999999</v>
      </c>
      <c r="H76" s="227">
        <f>F76/E76*100</f>
        <v>202.84470284047921</v>
      </c>
      <c r="I76" s="228">
        <f t="shared" si="14"/>
        <v>-6624.970000000001</v>
      </c>
      <c r="J76" s="228">
        <f>F76/D76*100</f>
        <v>62.50936562729896</v>
      </c>
      <c r="K76" s="228">
        <f>F76-5269.49</f>
        <v>5776.539999999999</v>
      </c>
      <c r="L76" s="228">
        <f>F76/5269.49*100</f>
        <v>209.6223733226555</v>
      </c>
      <c r="M76" s="226">
        <f>M72+M73+M74+M75</f>
        <v>1085.6000000000001</v>
      </c>
      <c r="N76" s="230">
        <f>N72+N73+N74+N75</f>
        <v>16.43999999999994</v>
      </c>
      <c r="O76" s="228">
        <f t="shared" si="15"/>
        <v>-1069.1600000000003</v>
      </c>
      <c r="P76" s="228">
        <f>N76/M76*100</f>
        <v>1.5143699336772236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3"/>
        <v>4.4</v>
      </c>
      <c r="H77" s="204"/>
      <c r="I77" s="207">
        <f t="shared" si="14"/>
        <v>3.4000000000000004</v>
      </c>
      <c r="J77" s="207"/>
      <c r="K77" s="207">
        <f>F77-0</f>
        <v>4.4</v>
      </c>
      <c r="L77" s="207"/>
      <c r="M77" s="204">
        <f>E77-травень!E77</f>
        <v>0</v>
      </c>
      <c r="N77" s="208">
        <f>F77-травень!F77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4888.84</v>
      </c>
      <c r="G79" s="202">
        <f t="shared" si="13"/>
        <v>-228.46000000000004</v>
      </c>
      <c r="H79" s="204">
        <f>F79/E79*100</f>
        <v>95.53553631798019</v>
      </c>
      <c r="I79" s="207">
        <f t="shared" si="14"/>
        <v>-4611.16</v>
      </c>
      <c r="J79" s="207">
        <f>F79/D79*100</f>
        <v>51.461473684210524</v>
      </c>
      <c r="K79" s="207">
        <f>F79-0</f>
        <v>4888.84</v>
      </c>
      <c r="L79" s="207"/>
      <c r="M79" s="204">
        <f>E79-травень!E79</f>
        <v>0.3000000000001819</v>
      </c>
      <c r="N79" s="208">
        <f>F79-травень!F79</f>
        <v>1.069999999999709</v>
      </c>
      <c r="O79" s="207">
        <f>N79-M79</f>
        <v>0.7699999999995271</v>
      </c>
      <c r="P79" s="231">
        <f>N79/M79*100</f>
        <v>356.66666666635336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4893.93</v>
      </c>
      <c r="G81" s="224">
        <f>G77+G80+G78+G79</f>
        <v>-223.37000000000003</v>
      </c>
      <c r="H81" s="227">
        <f>F81/E81*100</f>
        <v>95.63500283352549</v>
      </c>
      <c r="I81" s="228">
        <f t="shared" si="14"/>
        <v>-4607.07</v>
      </c>
      <c r="J81" s="228">
        <f>F81/D81*100</f>
        <v>51.509630565203665</v>
      </c>
      <c r="K81" s="228">
        <f>F81-1.06</f>
        <v>4892.87</v>
      </c>
      <c r="L81" s="228">
        <f>F81/1.06*100</f>
        <v>461691.50943396223</v>
      </c>
      <c r="M81" s="226">
        <f>M77+M80+M78+M79</f>
        <v>0.3000000000001819</v>
      </c>
      <c r="N81" s="230">
        <f>N77+N80+N78+N79</f>
        <v>1.069999999999709</v>
      </c>
      <c r="O81" s="226">
        <f>O77+O80+O78+O79</f>
        <v>0.7699999999995271</v>
      </c>
      <c r="P81" s="228">
        <f>N81/M81*100</f>
        <v>356.66666666635336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10.3</v>
      </c>
      <c r="G82" s="202">
        <f t="shared" si="13"/>
        <v>-9.399999999999999</v>
      </c>
      <c r="H82" s="204">
        <f>F82/E82*100</f>
        <v>52.28426395939086</v>
      </c>
      <c r="I82" s="207">
        <f t="shared" si="14"/>
        <v>-32.7</v>
      </c>
      <c r="J82" s="207">
        <f>F82/D82*100</f>
        <v>23.953488372093023</v>
      </c>
      <c r="K82" s="207">
        <f>F82-19.94</f>
        <v>-9.64</v>
      </c>
      <c r="L82" s="207">
        <f>F82/19.94*100</f>
        <v>51.65496489468405</v>
      </c>
      <c r="M82" s="204">
        <f>E82-травень!E82</f>
        <v>5.899999999999999</v>
      </c>
      <c r="N82" s="208">
        <f>F82-травень!F82</f>
        <v>1.1100000000000012</v>
      </c>
      <c r="O82" s="207">
        <f t="shared" si="15"/>
        <v>-4.789999999999997</v>
      </c>
      <c r="P82" s="207">
        <f>N82/M82</f>
        <v>0.18813559322033924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15950</v>
      </c>
      <c r="G84" s="233">
        <f>F84-E84</f>
        <v>5367.4400000000005</v>
      </c>
      <c r="H84" s="234">
        <f>F84/E84*100</f>
        <v>150.71967463449297</v>
      </c>
      <c r="I84" s="235">
        <f>F84-D84</f>
        <v>-11265</v>
      </c>
      <c r="J84" s="235">
        <f>F84/D84*100</f>
        <v>58.60738563292303</v>
      </c>
      <c r="K84" s="235">
        <f>F84-5259.67</f>
        <v>10690.33</v>
      </c>
      <c r="L84" s="235">
        <f>F84/5259.67*100</f>
        <v>303.2509644141173</v>
      </c>
      <c r="M84" s="232">
        <f>M70+M82+M76+M81</f>
        <v>1091.8000000000004</v>
      </c>
      <c r="N84" s="232">
        <f>N70+N82+N76+N81+N83</f>
        <v>18.61999999999965</v>
      </c>
      <c r="O84" s="235">
        <f t="shared" si="15"/>
        <v>-1073.1800000000007</v>
      </c>
      <c r="P84" s="235">
        <f>N84/M84*100</f>
        <v>1.7054405568785163</v>
      </c>
      <c r="Q84" s="28">
        <f>N84-8104.96</f>
        <v>-8086.34</v>
      </c>
      <c r="R84" s="101">
        <f>N84/8104.96</f>
        <v>0.002297358654453526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436925.24000000005</v>
      </c>
      <c r="G85" s="233">
        <f>F85-E85</f>
        <v>-15403.3299999999</v>
      </c>
      <c r="H85" s="234">
        <f>F85/E85*100</f>
        <v>96.59465905503163</v>
      </c>
      <c r="I85" s="235">
        <f>F85-D85</f>
        <v>-474190.3599999999</v>
      </c>
      <c r="J85" s="235">
        <f>F85/D85*100</f>
        <v>47.954973002328146</v>
      </c>
      <c r="K85" s="235">
        <f>F85-320998.67-5259.67</f>
        <v>110666.90000000007</v>
      </c>
      <c r="L85" s="235">
        <f>F85/(265734.15+4325.48)*100</f>
        <v>161.78843168821643</v>
      </c>
      <c r="M85" s="233">
        <f>M63+M84</f>
        <v>72584.4</v>
      </c>
      <c r="N85" s="233">
        <f>N63+N84</f>
        <v>23144.57000000002</v>
      </c>
      <c r="O85" s="235">
        <f t="shared" si="15"/>
        <v>-49439.82999999997</v>
      </c>
      <c r="P85" s="235">
        <f>N85/M85*100</f>
        <v>31.886424631188</v>
      </c>
      <c r="Q85" s="28">
        <f>N85-42872.96</f>
        <v>-19728.389999999978</v>
      </c>
      <c r="R85" s="101">
        <f>N85/42872.96</f>
        <v>0.5398407294481189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11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4396.968181818179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42531</v>
      </c>
      <c r="D89" s="31">
        <v>1928.4</v>
      </c>
      <c r="G89" s="4" t="s">
        <v>59</v>
      </c>
      <c r="N89" s="256"/>
      <c r="O89" s="256"/>
    </row>
    <row r="90" spans="3:15" ht="15">
      <c r="C90" s="87">
        <v>42530</v>
      </c>
      <c r="D90" s="31">
        <v>998.7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42529</v>
      </c>
      <c r="D91" s="31">
        <v>5523.3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0.07878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179.32999999999998</v>
      </c>
      <c r="G96" s="73">
        <f>G44+G47+G48</f>
        <v>-530.6700000000001</v>
      </c>
      <c r="H96" s="74"/>
      <c r="I96" s="74"/>
      <c r="M96" s="31">
        <f>M44+M47+M48</f>
        <v>142</v>
      </c>
      <c r="N96" s="246">
        <f>N44+N47+N48</f>
        <v>61.35</v>
      </c>
      <c r="O96" s="31">
        <f>O44+O47+O48</f>
        <v>-80.65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0" sqref="B10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2016-06-13T14:00:35Z</cp:lastPrinted>
  <dcterms:created xsi:type="dcterms:W3CDTF">2003-07-28T11:27:56Z</dcterms:created>
  <dcterms:modified xsi:type="dcterms:W3CDTF">2016-06-13T14:06:36Z</dcterms:modified>
  <cp:category/>
  <cp:version/>
  <cp:contentType/>
  <cp:contentStatus/>
</cp:coreProperties>
</file>